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ções" sheetId="1" r:id="rId4"/>
    <sheet state="visible" name="Simulador" sheetId="2" r:id="rId5"/>
    <sheet state="visible" name="Cenários" sheetId="3" r:id="rId6"/>
  </sheets>
  <definedNames/>
  <calcPr/>
  <extLst>
    <ext uri="GoogleSheetsCustomDataVersion2">
      <go:sheetsCustomData xmlns:go="http://customooxmlschemas.google.com/" r:id="rId7" roundtripDataChecksum="zLxbWjkXasRMB45p3EAtQ1ZrqXMrGCuWjDLJ2lKYco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6">
      <text>
        <t xml:space="preserve">======
ID#AAACAET5vvg
    (2026-07-15 17:49:05)
Volume mensal recebido no ponto, por material. Exemplo ilustrativo — substitua pelos seus números.</t>
      </text>
    </comment>
    <comment authorId="0" ref="C6">
      <text>
        <t xml:space="preserve">======
ID#AAACAET5vvY
    (2026-07-15 17:49:05)
Valor pago à população pelo quilo do material. Exemplo calibrado para 45% do preço de venda (média Ecograna).</t>
      </text>
    </comment>
    <comment authorId="0" ref="B20">
      <text>
        <t xml:space="preserve">======
ID#AAACAET5vvU
    (2026-07-15 17:49:05)
Valor estimado de implantação do ponto. Usado apenas para o cálculo de payback. Ajuste conforme a COF.</t>
      </text>
    </comment>
    <comment authorId="0" ref="B19">
      <text>
        <t xml:space="preserve">======
ID#AAACAET5vvc
    (2026-07-15 17:49:05)
Preencher conforme o regime tributário do franqueado (ex.: Simples Nacional). Vem zerado propositalmente.</t>
      </text>
    </comment>
  </commentList>
  <extLst>
    <ext uri="GoogleSheetsCustomDataVersion2">
      <go:sheetsCustomData xmlns:go="http://customooxmlschemas.google.com/" r:id="rId1" roundtripDataSignature="AMtx7mgwCURkzGbQuiwZeCJ9+cNB/OWKrg=="/>
    </ext>
  </extLst>
</comments>
</file>

<file path=xl/sharedStrings.xml><?xml version="1.0" encoding="utf-8"?>
<sst xmlns="http://schemas.openxmlformats.org/spreadsheetml/2006/main" count="114" uniqueCount="109">
  <si>
    <t>ECOGRANA — Calculadora de Faturamento do Franqueado</t>
  </si>
  <si>
    <t>PARA QUE SERVE</t>
  </si>
  <si>
    <t>Simulador que estima o faturamento e o lucro mensal de um Ponto Ecograna a partir do volume de resíduos recebidos e dos preços de compra e de venda de cada material. Serve para o futuro franqueado dimensionar o negócio e para a franqueadora atualizar estimativas conforme a rentabilidade de cada produto evolui.</t>
  </si>
  <si>
    <t>COMO USAR — em 3 passos</t>
  </si>
  <si>
    <t>1) Na aba SIMULADOR, preencha apenas as células AMARELAS: volume mensal (kg), preço de compra e preço de venda de cada material.</t>
  </si>
  <si>
    <t>2) Ajuste as taxas da franquia, os impostos e os custos fixos mensais do ponto.</t>
  </si>
  <si>
    <t>3) Leia o resultado no bloco 'RESULTADO MENSAL SIMULADO'. A aba CENÁRIOS mostra o mesmo ponto operando com volumes maiores e menores.</t>
  </si>
  <si>
    <t>LEGENDA DE CORES</t>
  </si>
  <si>
    <t>Célula AMARELA com texto AZUL  →  você preenche (premissa/entrada)</t>
  </si>
  <si>
    <t>Texto PRETO  →  cálculo automático, não editar</t>
  </si>
  <si>
    <t>Texto VERDE  →  valor puxado de outra aba, não editar</t>
  </si>
  <si>
    <t>A LÓGICA DO CÁLCULO</t>
  </si>
  <si>
    <t>Receita de venda            =  volume (kg) × preço de venda (R$/kg)</t>
  </si>
  <si>
    <t>(−) Custo de compra         =  volume (kg) × preço de compra pago à população (R$/kg)</t>
  </si>
  <si>
    <t>(=)  LUCRO BRUTO</t>
  </si>
  <si>
    <t>(−) Royalties (10%)         =  incide sobre o LUCRO BRUTO</t>
  </si>
  <si>
    <t>(−) Taxa de marketing (2%)  =  incide sobre o LUCRO BRUTO</t>
  </si>
  <si>
    <t>(−) Custos fixos mensais    =  aluguel, mão de obra, energia, transporte etc.</t>
  </si>
  <si>
    <t>(−) Impostos                =  percentual sobre a receita de venda (regime tributário do franqueado)</t>
  </si>
  <si>
    <t>(=)  LUCRO LÍQUIDO DO FRANQUEADO</t>
  </si>
  <si>
    <t>REFERÊNCIAS ECOGRANA (média histórica da operação)</t>
  </si>
  <si>
    <t>• Lucro bruto médio: R$ 0,65 por quilo de resíduo reciclável.</t>
  </si>
  <si>
    <t>• Custo de compra do resíduo: em média 45% do valor de venda.</t>
  </si>
  <si>
    <t>• Materiais mais rentáveis, nesta ordem: latinha de alumínio, PET e PEAD, eletrônicos.</t>
  </si>
  <si>
    <t>Estes dois indicadores aparecem no Simulador comparados ao que a sua simulação gerou. Se a sua média ficar muito distante de R$ 0,65/kg, revise os preços ou o mix de materiais.</t>
  </si>
  <si>
    <t>PREMISSAS E LIMITES DESTA CALCULADORA</t>
  </si>
  <si>
    <t>• Os valores já preenchidos são EXEMPLO ILUSTRATIVO, calibrados para reproduzir a média de referência de R$ 0,65/kg de lucro bruto e 45% de custo sobre a venda. Substitua-os pelos seus números reais.</t>
  </si>
  <si>
    <t>• Os preços de compra e venda variam por material, por qualidade do fardo, por volume negociado e por momento de mercado. A simulação é uma estimativa, não uma promessa de resultado.</t>
  </si>
  <si>
    <t>• Todo o resíduo comprado no mês é considerado vendido no mesmo mês. Estoque parado não gera margem: se o seu giro for menor, reduza o volume simulado.</t>
  </si>
  <si>
    <t>• Óleo usado é normalmente negociado em litros. Para usar esta planilha, converta para quilos (≈ 0,92 kg/L) ou trate a coluna 'kg' como litros apenas nessa linha.</t>
  </si>
  <si>
    <t>• Impostos vêm zerados. Preencha conforme o regime do franqueado (Simples Nacional, por exemplo).</t>
  </si>
  <si>
    <t>• Esta calculadora não substitui a Circular de Oferta de Franquia (COF) exigida pela Lei 13.966/2019. Estimativas de faturamento divulgadas ao candidato devem estar coerentes com o que consta na COF.</t>
  </si>
  <si>
    <t>AVISO PARA PUBLICAÇÃO NO SITE</t>
  </si>
  <si>
    <t>Recomenda-se exibir junto à calculadora: 'Simulação de caráter informativo, baseada em médias históricas da rede. Os resultados variam conforme volume, mix de materiais, preços de mercado e gestão do ponto, e não constituem garantia de rentabilidade.'</t>
  </si>
  <si>
    <t>ECOGRANA — SIMULADOR DE FATURAMENTO DO PONTO FRANQUEADO</t>
  </si>
  <si>
    <t>Preencha apenas as células amarelas. Valores em azul são premissas suas; em preto, cálculo automático.</t>
  </si>
  <si>
    <t>1.  VOLUME E PREÇOS POR MATERIAL</t>
  </si>
  <si>
    <t>Material</t>
  </si>
  <si>
    <t>Volume (kg/mês)</t>
  </si>
  <si>
    <t>Preço de compra (R$/kg)</t>
  </si>
  <si>
    <t>Preço de venda (R$/kg)</t>
  </si>
  <si>
    <t>Mix (%)</t>
  </si>
  <si>
    <t>Receita de venda (R$)</t>
  </si>
  <si>
    <t>Custo de compra (R$)</t>
  </si>
  <si>
    <t>Lucro bruto (R$)</t>
  </si>
  <si>
    <t>Lucro bruto (R$/kg)</t>
  </si>
  <si>
    <t>Custo / Venda (%)</t>
  </si>
  <si>
    <t>Papelão</t>
  </si>
  <si>
    <t>Papel</t>
  </si>
  <si>
    <t>PET</t>
  </si>
  <si>
    <t>PEAD</t>
  </si>
  <si>
    <t>PP</t>
  </si>
  <si>
    <t>Eletrônicos e eletrodomesticos</t>
  </si>
  <si>
    <t>Óleo usado (kg)</t>
  </si>
  <si>
    <t>Latinha de alumínio</t>
  </si>
  <si>
    <t>TOTAL / MÉDIA PONDERADA</t>
  </si>
  <si>
    <t>2.  TAXAS DA FRANQUIA E IMPOSTOS</t>
  </si>
  <si>
    <t>Royalties (% sobre o lucro bruto)</t>
  </si>
  <si>
    <t>Taxa de marketing (% sobre o lucro bruto)</t>
  </si>
  <si>
    <t>Impostos (% sobre a receita de venda)</t>
  </si>
  <si>
    <t>Investimento inicial do franqueado (R$)</t>
  </si>
  <si>
    <t>3.  CUSTOS FIXOS MENSAIS DO PONTO</t>
  </si>
  <si>
    <t>Aluguel do ponto</t>
  </si>
  <si>
    <t>Mão de obra (salários + encargos)</t>
  </si>
  <si>
    <t>Energia e água</t>
  </si>
  <si>
    <t>Combustível e transporte</t>
  </si>
  <si>
    <t>Internet e telefone</t>
  </si>
  <si>
    <t>Contabilidade</t>
  </si>
  <si>
    <t>Embalagens, big bags e materiais</t>
  </si>
  <si>
    <t>Outros (manutenção, seguros, etc.)</t>
  </si>
  <si>
    <t>TOTAL DE CUSTOS FIXOS</t>
  </si>
  <si>
    <t>4.  RESULTADO MENSAL SIMULADO</t>
  </si>
  <si>
    <t>Receita bruta de venda</t>
  </si>
  <si>
    <t>(−) Custo de compra dos resíduos</t>
  </si>
  <si>
    <t xml:space="preserve">     Lucro bruto médio (R$/kg)</t>
  </si>
  <si>
    <t>vs. referência Ecograna (R$ 0,65/kg)</t>
  </si>
  <si>
    <t xml:space="preserve">     Custo de compra sobre a venda (%)</t>
  </si>
  <si>
    <t>vs. referência Ecograna (45%)</t>
  </si>
  <si>
    <t>(−) Royalties</t>
  </si>
  <si>
    <t>(−) Taxa de marketing</t>
  </si>
  <si>
    <t>(=)  Margem após taxas da franquia</t>
  </si>
  <si>
    <t>(−) Custos fixos</t>
  </si>
  <si>
    <t>(−) Impostos</t>
  </si>
  <si>
    <t>5.  INDICADORES</t>
  </si>
  <si>
    <t>Margem líquida (% sobre a receita)</t>
  </si>
  <si>
    <t>Lucro líquido por quilo (R$/kg)</t>
  </si>
  <si>
    <t>Ponto de equilíbrio (kg/mês)</t>
  </si>
  <si>
    <t>Volume mínimo para o ponto se pagar</t>
  </si>
  <si>
    <t>Payback do investimento (meses)</t>
  </si>
  <si>
    <t>Referência: lucro bruto médio Ecograna (R$/kg)</t>
  </si>
  <si>
    <t>Médias históricas informadas pela Ecograna (fonte: operação Guará, jan/2025–abr/2026).</t>
  </si>
  <si>
    <t>Referência: custo de compra sobre a venda (%)</t>
  </si>
  <si>
    <t>Aviso: simulação de caráter informativo, baseada em médias da rede. Resultados variam conforme volume, mix de materiais, preços de mercado e gestão do ponto. Não constitui garantia de rentabilidade.</t>
  </si>
  <si>
    <t>CENÁRIOS DE VOLUME — sensibilidade do resultado ao volume coletado</t>
  </si>
  <si>
    <t>Mantém o mesmo mix e os mesmos preços do Simulador, variando apenas o volume. Os custos fixos não mudam — é isso que faz o resultado crescer mais rápido que o volume.</t>
  </si>
  <si>
    <t>Cenário</t>
  </si>
  <si>
    <t>Fator</t>
  </si>
  <si>
    <t>Receita de venda</t>
  </si>
  <si>
    <t>Lucro bruto</t>
  </si>
  <si>
    <t>(−) Royalties + Mkt</t>
  </si>
  <si>
    <t>Lucro líquido</t>
  </si>
  <si>
    <t>Margem líquida</t>
  </si>
  <si>
    <t>Muito abaixo</t>
  </si>
  <si>
    <t>Abaixo</t>
  </si>
  <si>
    <t>Base (Simulador)</t>
  </si>
  <si>
    <t>Acima</t>
  </si>
  <si>
    <t>Bem acima</t>
  </si>
  <si>
    <t>Dobro do volume</t>
  </si>
  <si>
    <t>Leitura: o volume é a alavanca decisiva. Como os custos fixos são os mesmos em qualquer cenário, dobrar o volume mais do que dobra o lucro líquido — e volumes baixos consomem todo o lucro bruto.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</si>
</sst>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#,##0;\(#,##0\);\-"/>
    <numFmt numFmtId="165" formatCode="&quot;R$ &quot;#,##0.00;&quot;(R$ &quot;#,##0.00\);\-"/>
    <numFmt numFmtId="166" formatCode="0.0%;\(0.0%\);\-"/>
    <numFmt numFmtId="167" formatCode="&quot;R$ &quot;#,##0;&quot;(R$ &quot;#,##0\);\-"/>
    <numFmt numFmtId="168" formatCode="\+0.0%;\-0.0%;0.0%"/>
    <numFmt numFmtId="169" formatCode="\+0.0&quot; p.p.&quot;;\-0.0&quot; p.p.&quot;;0.0"/>
    <numFmt numFmtId="170" formatCode="#,##0.0"/>
  </numFmts>
  <fonts count="14">
    <font>
      <sz val="11.0"/>
      <color rgb="FF000000"/>
      <name val="Arial"/>
      <scheme val="minor"/>
    </font>
    <font>
      <b/>
      <sz val="16.0"/>
      <color rgb="FF0D8768"/>
      <name val="Arial"/>
    </font>
    <font>
      <sz val="10.0"/>
      <color theme="1"/>
      <name val="Arial"/>
    </font>
    <font>
      <b/>
      <sz val="11.0"/>
      <color rgb="FF0D8768"/>
      <name val="Arial"/>
    </font>
    <font>
      <b/>
      <sz val="14.0"/>
      <color rgb="FFFFFFFF"/>
      <name val="Arial"/>
    </font>
    <font/>
    <font>
      <i/>
      <sz val="9.0"/>
      <color theme="1"/>
      <name val="Arial"/>
    </font>
    <font>
      <b/>
      <sz val="10.0"/>
      <color rgb="FFFFFFFF"/>
      <name val="Arial"/>
    </font>
    <font>
      <b/>
      <sz val="9.0"/>
      <color rgb="FFFFFFFF"/>
      <name val="Arial"/>
    </font>
    <font>
      <sz val="10.0"/>
      <color rgb="FF0000FF"/>
      <name val="Arial"/>
    </font>
    <font>
      <b/>
      <sz val="10.0"/>
      <color theme="1"/>
      <name val="Arial"/>
    </font>
    <font>
      <sz val="9.0"/>
      <color theme="1"/>
      <name val="Arial"/>
    </font>
    <font>
      <i/>
      <sz val="9.0"/>
      <color rgb="FF808080"/>
      <name val="Arial"/>
    </font>
    <font>
      <sz val="10.0"/>
      <color rgb="FF008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0D8768"/>
        <bgColor rgb="FF0D8768"/>
      </patternFill>
    </fill>
    <fill>
      <patternFill patternType="solid">
        <fgColor rgb="FF359951"/>
        <bgColor rgb="FF359951"/>
      </patternFill>
    </fill>
    <fill>
      <patternFill patternType="solid">
        <fgColor rgb="FF6E6E6E"/>
        <bgColor rgb="FF6E6E6E"/>
      </patternFill>
    </fill>
    <fill>
      <patternFill patternType="solid">
        <fgColor rgb="FFFFFF00"/>
        <bgColor rgb="FFFFFF00"/>
      </patternFill>
    </fill>
    <fill>
      <patternFill patternType="solid">
        <fgColor rgb="FF7BC24D"/>
        <bgColor rgb="FF7BC24D"/>
      </patternFill>
    </fill>
    <fill>
      <patternFill patternType="solid">
        <fgColor rgb="FFE8F5EE"/>
        <bgColor rgb="FFE8F5EE"/>
      </patternFill>
    </fill>
  </fills>
  <borders count="5">
    <border/>
    <border>
      <left/>
      <top/>
      <bottom/>
    </border>
    <border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1" fillId="2" fontId="4" numFmtId="0" xfId="0" applyAlignment="1" applyBorder="1" applyFill="1" applyFont="1">
      <alignment horizontal="center" shrinkToFit="0" vertical="center" wrapText="0"/>
    </xf>
    <xf borderId="2" fillId="0" fontId="5" numFmtId="0" xfId="0" applyBorder="1" applyFont="1"/>
    <xf borderId="0" fillId="0" fontId="6" numFmtId="0" xfId="0" applyAlignment="1" applyFont="1">
      <alignment shrinkToFit="0" vertical="bottom" wrapText="0"/>
    </xf>
    <xf borderId="1" fillId="3" fontId="7" numFmtId="0" xfId="0" applyAlignment="1" applyBorder="1" applyFill="1" applyFont="1">
      <alignment shrinkToFit="0" vertical="center" wrapText="0"/>
    </xf>
    <xf borderId="3" fillId="4" fontId="8" numFmtId="0" xfId="0" applyAlignment="1" applyBorder="1" applyFill="1" applyFont="1">
      <alignment horizontal="center" shrinkToFit="0" vertical="center" wrapText="1"/>
    </xf>
    <xf borderId="3" fillId="0" fontId="2" numFmtId="0" xfId="0" applyAlignment="1" applyBorder="1" applyFont="1">
      <alignment shrinkToFit="0" vertical="bottom" wrapText="0"/>
    </xf>
    <xf borderId="3" fillId="5" fontId="9" numFmtId="164" xfId="0" applyAlignment="1" applyBorder="1" applyFill="1" applyFont="1" applyNumberFormat="1">
      <alignment readingOrder="0" shrinkToFit="0" vertical="bottom" wrapText="0"/>
    </xf>
    <xf borderId="3" fillId="5" fontId="9" numFmtId="165" xfId="0" applyAlignment="1" applyBorder="1" applyFont="1" applyNumberFormat="1">
      <alignment readingOrder="0" shrinkToFit="0" vertical="bottom" wrapText="0"/>
    </xf>
    <xf borderId="3" fillId="0" fontId="2" numFmtId="166" xfId="0" applyAlignment="1" applyBorder="1" applyFont="1" applyNumberFormat="1">
      <alignment shrinkToFit="0" vertical="bottom" wrapText="0"/>
    </xf>
    <xf borderId="3" fillId="0" fontId="2" numFmtId="165" xfId="0" applyAlignment="1" applyBorder="1" applyFont="1" applyNumberFormat="1">
      <alignment shrinkToFit="0" vertical="bottom" wrapText="0"/>
    </xf>
    <xf borderId="3" fillId="5" fontId="9" numFmtId="165" xfId="0" applyAlignment="1" applyBorder="1" applyFont="1" applyNumberFormat="1">
      <alignment shrinkToFit="0" vertical="bottom" wrapText="0"/>
    </xf>
    <xf borderId="3" fillId="5" fontId="9" numFmtId="164" xfId="0" applyAlignment="1" applyBorder="1" applyFont="1" applyNumberFormat="1">
      <alignment shrinkToFit="0" vertical="bottom" wrapText="0"/>
    </xf>
    <xf borderId="3" fillId="0" fontId="2" numFmtId="0" xfId="0" applyAlignment="1" applyBorder="1" applyFont="1">
      <alignment readingOrder="0" shrinkToFit="0" vertical="bottom" wrapText="0"/>
    </xf>
    <xf borderId="3" fillId="6" fontId="10" numFmtId="0" xfId="0" applyAlignment="1" applyBorder="1" applyFill="1" applyFont="1">
      <alignment shrinkToFit="0" vertical="bottom" wrapText="0"/>
    </xf>
    <xf borderId="3" fillId="6" fontId="10" numFmtId="164" xfId="0" applyAlignment="1" applyBorder="1" applyFont="1" applyNumberFormat="1">
      <alignment shrinkToFit="0" vertical="bottom" wrapText="0"/>
    </xf>
    <xf borderId="3" fillId="6" fontId="10" numFmtId="166" xfId="0" applyAlignment="1" applyBorder="1" applyFont="1" applyNumberFormat="1">
      <alignment shrinkToFit="0" vertical="bottom" wrapText="0"/>
    </xf>
    <xf borderId="3" fillId="6" fontId="10" numFmtId="165" xfId="0" applyAlignment="1" applyBorder="1" applyFont="1" applyNumberFormat="1">
      <alignment shrinkToFit="0" vertical="bottom" wrapText="0"/>
    </xf>
    <xf borderId="0" fillId="0" fontId="2" numFmtId="0" xfId="0" applyAlignment="1" applyFont="1">
      <alignment shrinkToFit="0" vertical="bottom" wrapText="0"/>
    </xf>
    <xf borderId="3" fillId="5" fontId="9" numFmtId="166" xfId="0" applyAlignment="1" applyBorder="1" applyFont="1" applyNumberFormat="1">
      <alignment shrinkToFit="0" vertical="bottom" wrapText="0"/>
    </xf>
    <xf borderId="3" fillId="5" fontId="9" numFmtId="167" xfId="0" applyAlignment="1" applyBorder="1" applyFont="1" applyNumberFormat="1">
      <alignment readingOrder="0" shrinkToFit="0" vertical="bottom" wrapText="0"/>
    </xf>
    <xf borderId="0" fillId="0" fontId="10" numFmtId="0" xfId="0" applyAlignment="1" applyFont="1">
      <alignment shrinkToFit="0" vertical="bottom" wrapText="0"/>
    </xf>
    <xf borderId="4" fillId="7" fontId="10" numFmtId="0" xfId="0" applyAlignment="1" applyBorder="1" applyFill="1" applyFont="1">
      <alignment shrinkToFit="0" vertical="bottom" wrapText="0"/>
    </xf>
    <xf borderId="3" fillId="7" fontId="10" numFmtId="165" xfId="0" applyAlignment="1" applyBorder="1" applyFont="1" applyNumberFormat="1">
      <alignment shrinkToFit="0" vertical="bottom" wrapText="0"/>
    </xf>
    <xf borderId="0" fillId="0" fontId="2" numFmtId="168" xfId="0" applyAlignment="1" applyFont="1" applyNumberFormat="1">
      <alignment shrinkToFit="0" vertical="bottom" wrapText="0"/>
    </xf>
    <xf borderId="0" fillId="0" fontId="2" numFmtId="169" xfId="0" applyAlignment="1" applyFont="1" applyNumberFormat="1">
      <alignment shrinkToFit="0" vertical="bottom" wrapText="0"/>
    </xf>
    <xf borderId="4" fillId="6" fontId="10" numFmtId="0" xfId="0" applyAlignment="1" applyBorder="1" applyFont="1">
      <alignment shrinkToFit="0" vertical="bottom" wrapText="0"/>
    </xf>
    <xf borderId="3" fillId="7" fontId="10" numFmtId="166" xfId="0" applyAlignment="1" applyBorder="1" applyFont="1" applyNumberFormat="1">
      <alignment shrinkToFit="0" vertical="bottom" wrapText="0"/>
    </xf>
    <xf borderId="3" fillId="7" fontId="10" numFmtId="164" xfId="0" applyAlignment="1" applyBorder="1" applyFont="1" applyNumberFormat="1">
      <alignment shrinkToFit="0" vertical="bottom" wrapText="0"/>
    </xf>
    <xf borderId="3" fillId="7" fontId="10" numFmtId="170" xfId="0" applyAlignment="1" applyBorder="1" applyFont="1" applyNumberFormat="1">
      <alignment shrinkToFit="0" vertical="bottom" wrapText="0"/>
    </xf>
    <xf borderId="0" fillId="0" fontId="11" numFmtId="0" xfId="0" applyAlignment="1" applyFont="1">
      <alignment shrinkToFit="0" vertical="bottom" wrapText="0"/>
    </xf>
    <xf borderId="4" fillId="5" fontId="9" numFmtId="165" xfId="0" applyAlignment="1" applyBorder="1" applyFont="1" applyNumberFormat="1">
      <alignment shrinkToFit="0" vertical="bottom" wrapText="0"/>
    </xf>
    <xf borderId="4" fillId="5" fontId="9" numFmtId="166" xfId="0" applyAlignment="1" applyBorder="1" applyFont="1" applyNumberFormat="1">
      <alignment shrinkToFit="0" vertical="bottom" wrapText="0"/>
    </xf>
    <xf borderId="0" fillId="0" fontId="12" numFmtId="0" xfId="0" applyAlignment="1" applyFont="1">
      <alignment shrinkToFit="0" vertical="bottom" wrapText="0"/>
    </xf>
    <xf borderId="3" fillId="5" fontId="9" numFmtId="9" xfId="0" applyAlignment="1" applyBorder="1" applyFont="1" applyNumberFormat="1">
      <alignment shrinkToFit="0" vertical="bottom" wrapText="0"/>
    </xf>
    <xf borderId="3" fillId="0" fontId="13" numFmtId="164" xfId="0" applyAlignment="1" applyBorder="1" applyFont="1" applyNumberFormat="1">
      <alignment shrinkToFit="0" vertical="bottom" wrapText="0"/>
    </xf>
    <xf borderId="3" fillId="0" fontId="13" numFmtId="167" xfId="0" applyAlignment="1" applyBorder="1" applyFont="1" applyNumberFormat="1">
      <alignment shrinkToFit="0" vertical="bottom" wrapText="0"/>
    </xf>
    <xf borderId="3" fillId="0" fontId="2" numFmtId="167" xfId="0" applyAlignment="1" applyBorder="1" applyFont="1" applyNumberFormat="1">
      <alignment shrinkToFit="0" vertical="bottom" wrapText="0"/>
    </xf>
    <xf borderId="3" fillId="6" fontId="10" numFmtId="9" xfId="0" applyAlignment="1" applyBorder="1" applyFont="1" applyNumberFormat="1">
      <alignment shrinkToFit="0" vertical="bottom" wrapText="0"/>
    </xf>
    <xf borderId="3" fillId="6" fontId="10" numFmtId="167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Lucro líquido mensal por cenário de volume (R$)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Lucro líquido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'Cenários'!$A$5:$A$10</c:f>
            </c:strRef>
          </c:cat>
          <c:val>
            <c:numRef>
              <c:f>'Cenários'!$I$5:$I$10</c:f>
              <c:numCache/>
            </c:numRef>
          </c:val>
        </c:ser>
        <c:axId val="1218631732"/>
        <c:axId val="1533554433"/>
      </c:barChart>
      <c:catAx>
        <c:axId val="12186317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533554433"/>
      </c:catAx>
      <c:valAx>
        <c:axId val="15335544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Calibri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Calibri"/>
                  </a:rPr>
                  <a:t>R$/mês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218631732"/>
      </c:valAx>
    </c:plotArea>
    <c:plotVisOnly val="1"/>
  </c:chart>
  <c:spPr>
    <a:solidFill>
      <a:srgbClr val="FFFFFF"/>
    </a:solidFill>
  </c:spPr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12</xdr:row>
      <xdr:rowOff>0</xdr:rowOff>
    </xdr:from>
    <xdr:ext cx="6143625" cy="3019425"/>
    <xdr:graphicFrame>
      <xdr:nvGraphicFramePr>
        <xdr:cNvPr id="132037197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0"/>
    <col customWidth="1" min="2" max="2" width="105.0"/>
    <col customWidth="1" min="3" max="6" width="8.75"/>
    <col customWidth="1" min="7" max="26" width="14.38"/>
  </cols>
  <sheetData>
    <row r="1">
      <c r="B1" s="1" t="s">
        <v>0</v>
      </c>
    </row>
    <row r="3">
      <c r="B3" s="2"/>
    </row>
    <row r="4">
      <c r="B4" s="3" t="s">
        <v>1</v>
      </c>
    </row>
    <row r="5" ht="39.0" customHeight="1">
      <c r="B5" s="2" t="s">
        <v>2</v>
      </c>
    </row>
    <row r="6">
      <c r="B6" s="2"/>
    </row>
    <row r="7">
      <c r="B7" s="3" t="s">
        <v>3</v>
      </c>
    </row>
    <row r="8" ht="27.75" customHeight="1">
      <c r="B8" s="2" t="s">
        <v>4</v>
      </c>
    </row>
    <row r="9">
      <c r="B9" s="2" t="s">
        <v>5</v>
      </c>
    </row>
    <row r="10" ht="27.75" customHeight="1">
      <c r="B10" s="2" t="s">
        <v>6</v>
      </c>
    </row>
    <row r="11">
      <c r="B11" s="2"/>
    </row>
    <row r="12">
      <c r="B12" s="3" t="s">
        <v>7</v>
      </c>
    </row>
    <row r="13">
      <c r="B13" s="2" t="s">
        <v>8</v>
      </c>
    </row>
    <row r="14">
      <c r="B14" s="2" t="s">
        <v>9</v>
      </c>
    </row>
    <row r="15">
      <c r="B15" s="2" t="s">
        <v>10</v>
      </c>
    </row>
    <row r="16">
      <c r="B16" s="2"/>
    </row>
    <row r="17">
      <c r="B17" s="3" t="s">
        <v>11</v>
      </c>
    </row>
    <row r="18">
      <c r="B18" s="2" t="s">
        <v>12</v>
      </c>
    </row>
    <row r="19">
      <c r="B19" s="2" t="s">
        <v>13</v>
      </c>
    </row>
    <row r="20">
      <c r="B20" s="2" t="s">
        <v>14</v>
      </c>
    </row>
    <row r="21" ht="15.75" customHeight="1">
      <c r="B21" s="2" t="s">
        <v>15</v>
      </c>
    </row>
    <row r="22" ht="15.75" customHeight="1">
      <c r="B22" s="2" t="s">
        <v>16</v>
      </c>
    </row>
    <row r="23" ht="15.75" customHeight="1">
      <c r="B23" s="2" t="s">
        <v>17</v>
      </c>
    </row>
    <row r="24" ht="15.75" customHeight="1">
      <c r="B24" s="2" t="s">
        <v>18</v>
      </c>
    </row>
    <row r="25" ht="15.75" customHeight="1">
      <c r="B25" s="2" t="s">
        <v>19</v>
      </c>
    </row>
    <row r="26" ht="15.75" customHeight="1">
      <c r="B26" s="2"/>
    </row>
    <row r="27" ht="15.75" customHeight="1">
      <c r="B27" s="3" t="s">
        <v>20</v>
      </c>
    </row>
    <row r="28" ht="15.75" customHeight="1">
      <c r="B28" s="2" t="s">
        <v>21</v>
      </c>
    </row>
    <row r="29" ht="15.75" customHeight="1">
      <c r="B29" s="2" t="s">
        <v>22</v>
      </c>
    </row>
    <row r="30" ht="15.75" customHeight="1">
      <c r="B30" s="2" t="s">
        <v>23</v>
      </c>
    </row>
    <row r="31" ht="27.75" customHeight="1">
      <c r="B31" s="2" t="s">
        <v>24</v>
      </c>
    </row>
    <row r="32" ht="15.75" customHeight="1">
      <c r="B32" s="2"/>
    </row>
    <row r="33" ht="15.75" customHeight="1">
      <c r="B33" s="3" t="s">
        <v>25</v>
      </c>
    </row>
    <row r="34" ht="27.75" customHeight="1">
      <c r="B34" s="2" t="s">
        <v>26</v>
      </c>
    </row>
    <row r="35" ht="27.75" customHeight="1">
      <c r="B35" s="2" t="s">
        <v>27</v>
      </c>
    </row>
    <row r="36" ht="27.75" customHeight="1">
      <c r="B36" s="2" t="s">
        <v>28</v>
      </c>
    </row>
    <row r="37" ht="27.75" customHeight="1">
      <c r="B37" s="2" t="s">
        <v>29</v>
      </c>
    </row>
    <row r="38" ht="15.75" customHeight="1">
      <c r="B38" s="2" t="s">
        <v>30</v>
      </c>
    </row>
    <row r="39" ht="27.75" customHeight="1">
      <c r="B39" s="2" t="s">
        <v>31</v>
      </c>
    </row>
    <row r="40" ht="15.75" customHeight="1">
      <c r="B40" s="2"/>
    </row>
    <row r="41" ht="15.75" customHeight="1">
      <c r="B41" s="3" t="s">
        <v>32</v>
      </c>
    </row>
    <row r="42" ht="27.75" customHeight="1">
      <c r="B42" s="2" t="s">
        <v>33</v>
      </c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4.0"/>
    <col customWidth="1" min="2" max="2" width="15.0"/>
    <col customWidth="1" min="3" max="4" width="17.0"/>
    <col customWidth="1" min="5" max="5" width="11.0"/>
    <col customWidth="1" min="6" max="9" width="15.0"/>
    <col customWidth="1" min="10" max="10" width="12.0"/>
    <col customWidth="1" min="11" max="26" width="14.38"/>
  </cols>
  <sheetData>
    <row r="1" ht="25.5" customHeight="1">
      <c r="A1" s="4" t="s">
        <v>34</v>
      </c>
      <c r="B1" s="5"/>
      <c r="C1" s="5"/>
      <c r="D1" s="5"/>
      <c r="E1" s="5"/>
      <c r="F1" s="5"/>
      <c r="G1" s="5"/>
      <c r="H1" s="5"/>
      <c r="I1" s="5"/>
      <c r="J1" s="5"/>
    </row>
    <row r="2">
      <c r="A2" s="6" t="s">
        <v>35</v>
      </c>
    </row>
    <row r="4" ht="18.0" customHeight="1">
      <c r="A4" s="7" t="s">
        <v>36</v>
      </c>
      <c r="B4" s="5"/>
      <c r="C4" s="5"/>
      <c r="D4" s="5"/>
      <c r="E4" s="5"/>
      <c r="F4" s="5"/>
      <c r="G4" s="5"/>
      <c r="H4" s="5"/>
      <c r="I4" s="5"/>
      <c r="J4" s="5"/>
    </row>
    <row r="5" ht="31.5" customHeight="1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</row>
    <row r="6">
      <c r="A6" s="9" t="s">
        <v>47</v>
      </c>
      <c r="B6" s="10">
        <v>4000.0</v>
      </c>
      <c r="C6" s="11">
        <v>0.1</v>
      </c>
      <c r="D6" s="11">
        <v>0.35</v>
      </c>
      <c r="E6" s="12">
        <f t="shared" ref="E6:E13" si="1">IFERROR(B6/$B$14,0)</f>
        <v>0.4</v>
      </c>
      <c r="F6" s="13">
        <f t="shared" ref="F6:F13" si="2">B6*D6</f>
        <v>1400</v>
      </c>
      <c r="G6" s="13">
        <f t="shared" ref="G6:G13" si="3">B6*C6</f>
        <v>400</v>
      </c>
      <c r="H6" s="13">
        <f t="shared" ref="H6:H13" si="4">F6-G6</f>
        <v>1000</v>
      </c>
      <c r="I6" s="13">
        <f t="shared" ref="I6:I14" si="5">IFERROR(H6/B6,0)</f>
        <v>0.25</v>
      </c>
      <c r="J6" s="12">
        <f t="shared" ref="J6:J14" si="6">IFERROR(G6/F6,0)</f>
        <v>0.2857142857</v>
      </c>
    </row>
    <row r="7">
      <c r="A7" s="9" t="s">
        <v>48</v>
      </c>
      <c r="B7" s="10">
        <v>1000.0</v>
      </c>
      <c r="C7" s="11">
        <v>0.1</v>
      </c>
      <c r="D7" s="11">
        <v>0.35</v>
      </c>
      <c r="E7" s="12">
        <f t="shared" si="1"/>
        <v>0.1</v>
      </c>
      <c r="F7" s="13">
        <f t="shared" si="2"/>
        <v>350</v>
      </c>
      <c r="G7" s="13">
        <f t="shared" si="3"/>
        <v>100</v>
      </c>
      <c r="H7" s="13">
        <f t="shared" si="4"/>
        <v>250</v>
      </c>
      <c r="I7" s="13">
        <f t="shared" si="5"/>
        <v>0.25</v>
      </c>
      <c r="J7" s="12">
        <f t="shared" si="6"/>
        <v>0.2857142857</v>
      </c>
    </row>
    <row r="8">
      <c r="A8" s="9" t="s">
        <v>49</v>
      </c>
      <c r="B8" s="10">
        <v>3000.0</v>
      </c>
      <c r="C8" s="11">
        <v>0.75</v>
      </c>
      <c r="D8" s="14">
        <v>3.0</v>
      </c>
      <c r="E8" s="12">
        <f t="shared" si="1"/>
        <v>0.3</v>
      </c>
      <c r="F8" s="13">
        <f t="shared" si="2"/>
        <v>9000</v>
      </c>
      <c r="G8" s="13">
        <f t="shared" si="3"/>
        <v>2250</v>
      </c>
      <c r="H8" s="13">
        <f t="shared" si="4"/>
        <v>6750</v>
      </c>
      <c r="I8" s="13">
        <f t="shared" si="5"/>
        <v>2.25</v>
      </c>
      <c r="J8" s="12">
        <f t="shared" si="6"/>
        <v>0.25</v>
      </c>
    </row>
    <row r="9">
      <c r="A9" s="9" t="s">
        <v>50</v>
      </c>
      <c r="B9" s="15">
        <v>480.0</v>
      </c>
      <c r="C9" s="11">
        <v>0.75</v>
      </c>
      <c r="D9" s="14">
        <v>2.6</v>
      </c>
      <c r="E9" s="12">
        <f t="shared" si="1"/>
        <v>0.048</v>
      </c>
      <c r="F9" s="13">
        <f t="shared" si="2"/>
        <v>1248</v>
      </c>
      <c r="G9" s="13">
        <f t="shared" si="3"/>
        <v>360</v>
      </c>
      <c r="H9" s="13">
        <f t="shared" si="4"/>
        <v>888</v>
      </c>
      <c r="I9" s="13">
        <f t="shared" si="5"/>
        <v>1.85</v>
      </c>
      <c r="J9" s="12">
        <f t="shared" si="6"/>
        <v>0.2884615385</v>
      </c>
    </row>
    <row r="10">
      <c r="A10" s="9" t="s">
        <v>51</v>
      </c>
      <c r="B10" s="15">
        <v>320.0</v>
      </c>
      <c r="C10" s="11">
        <v>0.75</v>
      </c>
      <c r="D10" s="14">
        <v>2.0</v>
      </c>
      <c r="E10" s="12">
        <f t="shared" si="1"/>
        <v>0.032</v>
      </c>
      <c r="F10" s="13">
        <f t="shared" si="2"/>
        <v>640</v>
      </c>
      <c r="G10" s="13">
        <f t="shared" si="3"/>
        <v>240</v>
      </c>
      <c r="H10" s="13">
        <f t="shared" si="4"/>
        <v>400</v>
      </c>
      <c r="I10" s="13">
        <f t="shared" si="5"/>
        <v>1.25</v>
      </c>
      <c r="J10" s="12">
        <f t="shared" si="6"/>
        <v>0.375</v>
      </c>
    </row>
    <row r="11">
      <c r="A11" s="16" t="s">
        <v>52</v>
      </c>
      <c r="B11" s="15">
        <v>280.0</v>
      </c>
      <c r="C11" s="11">
        <v>0.65</v>
      </c>
      <c r="D11" s="11">
        <v>1.0</v>
      </c>
      <c r="E11" s="12">
        <f t="shared" si="1"/>
        <v>0.028</v>
      </c>
      <c r="F11" s="13">
        <f t="shared" si="2"/>
        <v>280</v>
      </c>
      <c r="G11" s="13">
        <f t="shared" si="3"/>
        <v>182</v>
      </c>
      <c r="H11" s="13">
        <f t="shared" si="4"/>
        <v>98</v>
      </c>
      <c r="I11" s="13">
        <f t="shared" si="5"/>
        <v>0.35</v>
      </c>
      <c r="J11" s="12">
        <f t="shared" si="6"/>
        <v>0.65</v>
      </c>
    </row>
    <row r="12">
      <c r="A12" s="9" t="s">
        <v>53</v>
      </c>
      <c r="B12" s="10">
        <v>220.0</v>
      </c>
      <c r="C12" s="11">
        <v>1.0</v>
      </c>
      <c r="D12" s="11">
        <v>2.0</v>
      </c>
      <c r="E12" s="12">
        <f t="shared" si="1"/>
        <v>0.022</v>
      </c>
      <c r="F12" s="13">
        <f t="shared" si="2"/>
        <v>440</v>
      </c>
      <c r="G12" s="13">
        <f t="shared" si="3"/>
        <v>220</v>
      </c>
      <c r="H12" s="13">
        <f t="shared" si="4"/>
        <v>220</v>
      </c>
      <c r="I12" s="13">
        <f t="shared" si="5"/>
        <v>1</v>
      </c>
      <c r="J12" s="12">
        <f t="shared" si="6"/>
        <v>0.5</v>
      </c>
    </row>
    <row r="13">
      <c r="A13" s="9" t="s">
        <v>54</v>
      </c>
      <c r="B13" s="10">
        <v>700.0</v>
      </c>
      <c r="C13" s="11">
        <v>4.5</v>
      </c>
      <c r="D13" s="14">
        <v>8.0</v>
      </c>
      <c r="E13" s="12">
        <f t="shared" si="1"/>
        <v>0.07</v>
      </c>
      <c r="F13" s="13">
        <f t="shared" si="2"/>
        <v>5600</v>
      </c>
      <c r="G13" s="13">
        <f t="shared" si="3"/>
        <v>3150</v>
      </c>
      <c r="H13" s="13">
        <f t="shared" si="4"/>
        <v>2450</v>
      </c>
      <c r="I13" s="13">
        <f t="shared" si="5"/>
        <v>3.5</v>
      </c>
      <c r="J13" s="12">
        <f t="shared" si="6"/>
        <v>0.5625</v>
      </c>
    </row>
    <row r="14">
      <c r="A14" s="17" t="s">
        <v>55</v>
      </c>
      <c r="B14" s="18">
        <f>SUM(B6:B13)</f>
        <v>10000</v>
      </c>
      <c r="C14" s="17"/>
      <c r="D14" s="17"/>
      <c r="E14" s="19">
        <f t="shared" ref="E14:H14" si="7">SUM(E6:E13)</f>
        <v>1</v>
      </c>
      <c r="F14" s="20">
        <f t="shared" si="7"/>
        <v>18958</v>
      </c>
      <c r="G14" s="20">
        <f t="shared" si="7"/>
        <v>6902</v>
      </c>
      <c r="H14" s="20">
        <f t="shared" si="7"/>
        <v>12056</v>
      </c>
      <c r="I14" s="20">
        <f t="shared" si="5"/>
        <v>1.2056</v>
      </c>
      <c r="J14" s="19">
        <f t="shared" si="6"/>
        <v>0.3640679397</v>
      </c>
    </row>
    <row r="16" ht="18.0" customHeight="1">
      <c r="A16" s="7" t="s">
        <v>56</v>
      </c>
      <c r="B16" s="5"/>
      <c r="C16" s="5"/>
      <c r="D16" s="5"/>
      <c r="E16" s="5"/>
      <c r="F16" s="5"/>
      <c r="G16" s="5"/>
      <c r="H16" s="5"/>
      <c r="I16" s="5"/>
      <c r="J16" s="5"/>
    </row>
    <row r="17">
      <c r="A17" s="21" t="s">
        <v>57</v>
      </c>
      <c r="B17" s="22">
        <v>0.1</v>
      </c>
    </row>
    <row r="18">
      <c r="A18" s="21" t="s">
        <v>58</v>
      </c>
      <c r="B18" s="22">
        <v>0.02</v>
      </c>
    </row>
    <row r="19">
      <c r="A19" s="21" t="s">
        <v>59</v>
      </c>
      <c r="B19" s="22">
        <v>0.0</v>
      </c>
    </row>
    <row r="20" ht="15.75" customHeight="1">
      <c r="A20" s="21" t="s">
        <v>60</v>
      </c>
      <c r="B20" s="23">
        <v>0.0</v>
      </c>
    </row>
    <row r="21" ht="15.75" customHeight="1"/>
    <row r="22" ht="18.0" customHeight="1">
      <c r="A22" s="7" t="s">
        <v>61</v>
      </c>
      <c r="B22" s="5"/>
      <c r="C22" s="5"/>
      <c r="D22" s="5"/>
      <c r="E22" s="5"/>
      <c r="F22" s="5"/>
      <c r="G22" s="5"/>
      <c r="H22" s="5"/>
      <c r="I22" s="5"/>
      <c r="J22" s="5"/>
    </row>
    <row r="23" ht="15.75" customHeight="1">
      <c r="A23" s="21" t="s">
        <v>62</v>
      </c>
      <c r="B23" s="11">
        <v>0.0</v>
      </c>
    </row>
    <row r="24" ht="15.75" customHeight="1">
      <c r="A24" s="21" t="s">
        <v>63</v>
      </c>
      <c r="B24" s="11">
        <v>0.0</v>
      </c>
    </row>
    <row r="25" ht="15.75" customHeight="1">
      <c r="A25" s="21" t="s">
        <v>64</v>
      </c>
      <c r="B25" s="11">
        <v>0.0</v>
      </c>
    </row>
    <row r="26" ht="15.75" customHeight="1">
      <c r="A26" s="21" t="s">
        <v>65</v>
      </c>
      <c r="B26" s="11">
        <v>0.0</v>
      </c>
    </row>
    <row r="27" ht="15.75" customHeight="1">
      <c r="A27" s="21" t="s">
        <v>66</v>
      </c>
      <c r="B27" s="14">
        <v>120.0</v>
      </c>
    </row>
    <row r="28" ht="15.75" customHeight="1">
      <c r="A28" s="21" t="s">
        <v>67</v>
      </c>
      <c r="B28" s="11">
        <v>0.0</v>
      </c>
    </row>
    <row r="29" ht="15.75" customHeight="1">
      <c r="A29" s="21" t="s">
        <v>68</v>
      </c>
      <c r="B29" s="14">
        <v>150.0</v>
      </c>
    </row>
    <row r="30" ht="15.75" customHeight="1">
      <c r="A30" s="21" t="s">
        <v>69</v>
      </c>
      <c r="B30" s="11">
        <v>0.0</v>
      </c>
    </row>
    <row r="31" ht="15.75" customHeight="1">
      <c r="A31" s="24" t="s">
        <v>70</v>
      </c>
      <c r="B31" s="20">
        <f>SUM(B23:B30)</f>
        <v>270</v>
      </c>
    </row>
    <row r="32" ht="15.75" customHeight="1"/>
    <row r="33" ht="18.0" customHeight="1">
      <c r="A33" s="7" t="s">
        <v>71</v>
      </c>
      <c r="B33" s="5"/>
      <c r="C33" s="5"/>
      <c r="D33" s="5"/>
      <c r="E33" s="5"/>
      <c r="F33" s="5"/>
      <c r="G33" s="5"/>
      <c r="H33" s="5"/>
      <c r="I33" s="5"/>
      <c r="J33" s="5"/>
    </row>
    <row r="34" ht="15.75" customHeight="1">
      <c r="A34" s="21" t="s">
        <v>72</v>
      </c>
      <c r="B34" s="13">
        <f>F14</f>
        <v>18958</v>
      </c>
    </row>
    <row r="35" ht="15.75" customHeight="1">
      <c r="A35" s="21" t="s">
        <v>73</v>
      </c>
      <c r="B35" s="13">
        <f>-G14</f>
        <v>-6902</v>
      </c>
    </row>
    <row r="36" ht="15.75" customHeight="1">
      <c r="A36" s="25" t="s">
        <v>14</v>
      </c>
      <c r="B36" s="26">
        <f>B34+B35</f>
        <v>12056</v>
      </c>
    </row>
    <row r="37" ht="15.75" customHeight="1">
      <c r="A37" s="21" t="s">
        <v>74</v>
      </c>
      <c r="B37" s="13">
        <f>I14</f>
        <v>1.2056</v>
      </c>
      <c r="C37" s="27">
        <f>IFERROR(B37/B51-1,0)</f>
        <v>0.8547692308</v>
      </c>
      <c r="D37" s="6" t="s">
        <v>75</v>
      </c>
    </row>
    <row r="38" ht="15.75" customHeight="1">
      <c r="A38" s="21" t="s">
        <v>76</v>
      </c>
      <c r="B38" s="12">
        <f>J14</f>
        <v>0.3640679397</v>
      </c>
      <c r="C38" s="28">
        <f>B38-B52</f>
        <v>-0.08593206034</v>
      </c>
      <c r="D38" s="6" t="s">
        <v>77</v>
      </c>
    </row>
    <row r="39" ht="15.75" customHeight="1">
      <c r="A39" s="21" t="s">
        <v>78</v>
      </c>
      <c r="B39" s="13">
        <f>-B36*B17</f>
        <v>-1205.6</v>
      </c>
    </row>
    <row r="40" ht="15.75" customHeight="1">
      <c r="A40" s="21" t="s">
        <v>79</v>
      </c>
      <c r="B40" s="13">
        <f>-B36*B18</f>
        <v>-241.12</v>
      </c>
    </row>
    <row r="41" ht="15.75" customHeight="1">
      <c r="A41" s="25" t="s">
        <v>80</v>
      </c>
      <c r="B41" s="26">
        <f>B36+B39+B40</f>
        <v>10609.28</v>
      </c>
    </row>
    <row r="42" ht="15.75" customHeight="1">
      <c r="A42" s="21" t="s">
        <v>81</v>
      </c>
      <c r="B42" s="13">
        <f>-B31</f>
        <v>-270</v>
      </c>
    </row>
    <row r="43" ht="15.75" customHeight="1">
      <c r="A43" s="21" t="s">
        <v>82</v>
      </c>
      <c r="B43" s="13">
        <f>-B34*B19</f>
        <v>0</v>
      </c>
    </row>
    <row r="44" ht="15.75" customHeight="1">
      <c r="A44" s="29" t="s">
        <v>19</v>
      </c>
      <c r="B44" s="20">
        <f>B41+B42+B43</f>
        <v>10339.28</v>
      </c>
    </row>
    <row r="45" ht="15.75" customHeight="1"/>
    <row r="46" ht="18.0" customHeight="1">
      <c r="A46" s="7" t="s">
        <v>83</v>
      </c>
      <c r="B46" s="5"/>
      <c r="C46" s="5"/>
      <c r="D46" s="5"/>
      <c r="E46" s="5"/>
      <c r="F46" s="5"/>
      <c r="G46" s="5"/>
      <c r="H46" s="5"/>
      <c r="I46" s="5"/>
      <c r="J46" s="5"/>
    </row>
    <row r="47" ht="15.75" customHeight="1">
      <c r="A47" s="24" t="s">
        <v>84</v>
      </c>
      <c r="B47" s="30">
        <f>IFERROR(B44/B34,0)</f>
        <v>0.5453782045</v>
      </c>
    </row>
    <row r="48" ht="15.75" customHeight="1">
      <c r="A48" s="24" t="s">
        <v>85</v>
      </c>
      <c r="B48" s="26">
        <f>IFERROR(B44/B14,0)</f>
        <v>1.033928</v>
      </c>
    </row>
    <row r="49" ht="15.75" customHeight="1">
      <c r="A49" s="24" t="s">
        <v>86</v>
      </c>
      <c r="B49" s="31">
        <f>IFERROR(B31/(B37*(1-B17-B18)-IFERROR(B34/B14,0)*B19),0)</f>
        <v>254.4941787</v>
      </c>
      <c r="C49" s="6" t="s">
        <v>87</v>
      </c>
    </row>
    <row r="50" ht="15.75" customHeight="1">
      <c r="A50" s="24" t="s">
        <v>88</v>
      </c>
      <c r="B50" s="32">
        <f>IF(B44&lt;=0,"não atinge",B20/B44)</f>
        <v>0</v>
      </c>
    </row>
    <row r="51" ht="15.75" hidden="1" customHeight="1">
      <c r="A51" s="33" t="s">
        <v>89</v>
      </c>
      <c r="B51" s="34">
        <v>0.65</v>
      </c>
      <c r="C51" s="6" t="s">
        <v>90</v>
      </c>
    </row>
    <row r="52" ht="15.75" hidden="1" customHeight="1">
      <c r="A52" s="33" t="s">
        <v>91</v>
      </c>
      <c r="B52" s="35">
        <v>0.45</v>
      </c>
    </row>
    <row r="53" ht="15.75" customHeight="1"/>
    <row r="54" ht="15.75" customHeight="1">
      <c r="A54" s="36" t="s">
        <v>92</v>
      </c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A1:J1"/>
    <mergeCell ref="A2:J2"/>
    <mergeCell ref="A4:J4"/>
    <mergeCell ref="A16:J16"/>
    <mergeCell ref="A22:J22"/>
    <mergeCell ref="A33:J33"/>
    <mergeCell ref="A46:J46"/>
  </mergeCells>
  <printOptions/>
  <pageMargins bottom="1.0" footer="0.0" header="0.0" left="0.75" right="0.75" top="1.0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6.0"/>
    <col customWidth="1" min="2" max="2" width="12.0"/>
    <col customWidth="1" min="3" max="5" width="16.0"/>
    <col customWidth="1" min="6" max="6" width="18.0"/>
    <col customWidth="1" min="7" max="7" width="16.0"/>
    <col customWidth="1" min="8" max="8" width="14.0"/>
    <col customWidth="1" min="9" max="9" width="18.0"/>
    <col customWidth="1" min="10" max="10" width="14.0"/>
    <col customWidth="1" min="11" max="26" width="14.38"/>
  </cols>
  <sheetData>
    <row r="1" ht="25.5" customHeight="1">
      <c r="A1" s="4" t="s">
        <v>93</v>
      </c>
      <c r="B1" s="5"/>
      <c r="C1" s="5"/>
      <c r="D1" s="5"/>
      <c r="E1" s="5"/>
      <c r="F1" s="5"/>
      <c r="G1" s="5"/>
      <c r="H1" s="5"/>
      <c r="I1" s="5"/>
      <c r="J1" s="5"/>
    </row>
    <row r="2">
      <c r="A2" s="6" t="s">
        <v>94</v>
      </c>
    </row>
    <row r="4" ht="30.0" customHeight="1">
      <c r="A4" s="8" t="s">
        <v>95</v>
      </c>
      <c r="B4" s="8" t="s">
        <v>96</v>
      </c>
      <c r="C4" s="8" t="s">
        <v>38</v>
      </c>
      <c r="D4" s="8" t="s">
        <v>97</v>
      </c>
      <c r="E4" s="8" t="s">
        <v>98</v>
      </c>
      <c r="F4" s="8" t="s">
        <v>99</v>
      </c>
      <c r="G4" s="8" t="s">
        <v>81</v>
      </c>
      <c r="H4" s="8" t="s">
        <v>82</v>
      </c>
      <c r="I4" s="8" t="s">
        <v>100</v>
      </c>
      <c r="J4" s="8" t="s">
        <v>101</v>
      </c>
    </row>
    <row r="5">
      <c r="A5" s="9" t="s">
        <v>102</v>
      </c>
      <c r="B5" s="37">
        <v>0.5</v>
      </c>
      <c r="C5" s="38">
        <f>Simulador!$B$14*B5</f>
        <v>5000</v>
      </c>
      <c r="D5" s="39">
        <f>Simulador!$B$34*B5</f>
        <v>9479</v>
      </c>
      <c r="E5" s="39">
        <f>Simulador!$B$36*B5</f>
        <v>6028</v>
      </c>
      <c r="F5" s="40">
        <f>-E5*(Simulador!$B$17+Simulador!$B$18)</f>
        <v>-723.36</v>
      </c>
      <c r="G5" s="39">
        <f>-Simulador!$B$31</f>
        <v>-270</v>
      </c>
      <c r="H5" s="40">
        <f>-D5*Simulador!$B$19</f>
        <v>0</v>
      </c>
      <c r="I5" s="40">
        <f t="shared" ref="I5:I10" si="1">E5+F5+G5+H5</f>
        <v>5034.64</v>
      </c>
      <c r="J5" s="12">
        <f t="shared" ref="J5:J10" si="2">IFERROR(I5/D5,0)</f>
        <v>0.5311361958</v>
      </c>
    </row>
    <row r="6">
      <c r="A6" s="9" t="s">
        <v>103</v>
      </c>
      <c r="B6" s="37">
        <v>0.75</v>
      </c>
      <c r="C6" s="38">
        <f>Simulador!$B$14*B6</f>
        <v>7500</v>
      </c>
      <c r="D6" s="39">
        <f>Simulador!$B$34*B6</f>
        <v>14218.5</v>
      </c>
      <c r="E6" s="39">
        <f>Simulador!$B$36*B6</f>
        <v>9042</v>
      </c>
      <c r="F6" s="40">
        <f>-E6*(Simulador!$B$17+Simulador!$B$18)</f>
        <v>-1085.04</v>
      </c>
      <c r="G6" s="39">
        <f>-Simulador!$B$31</f>
        <v>-270</v>
      </c>
      <c r="H6" s="40">
        <f>-D6*Simulador!$B$19</f>
        <v>0</v>
      </c>
      <c r="I6" s="40">
        <f t="shared" si="1"/>
        <v>7686.96</v>
      </c>
      <c r="J6" s="12">
        <f t="shared" si="2"/>
        <v>0.5406308682</v>
      </c>
    </row>
    <row r="7">
      <c r="A7" s="17" t="s">
        <v>104</v>
      </c>
      <c r="B7" s="41">
        <v>1.0</v>
      </c>
      <c r="C7" s="18">
        <f>Simulador!$B$14*B7</f>
        <v>10000</v>
      </c>
      <c r="D7" s="42">
        <f>Simulador!$B$34*B7</f>
        <v>18958</v>
      </c>
      <c r="E7" s="42">
        <f>Simulador!$B$36*B7</f>
        <v>12056</v>
      </c>
      <c r="F7" s="42">
        <f>-E7*(Simulador!$B$17+Simulador!$B$18)</f>
        <v>-1446.72</v>
      </c>
      <c r="G7" s="42">
        <f>-Simulador!$B$31</f>
        <v>-270</v>
      </c>
      <c r="H7" s="42">
        <f>-D7*Simulador!$B$19</f>
        <v>0</v>
      </c>
      <c r="I7" s="42">
        <f t="shared" si="1"/>
        <v>10339.28</v>
      </c>
      <c r="J7" s="19">
        <f t="shared" si="2"/>
        <v>0.5453782045</v>
      </c>
    </row>
    <row r="8">
      <c r="A8" s="9" t="s">
        <v>105</v>
      </c>
      <c r="B8" s="37">
        <v>1.25</v>
      </c>
      <c r="C8" s="38">
        <f>Simulador!$B$14*B8</f>
        <v>12500</v>
      </c>
      <c r="D8" s="39">
        <f>Simulador!$B$34*B8</f>
        <v>23697.5</v>
      </c>
      <c r="E8" s="39">
        <f>Simulador!$B$36*B8</f>
        <v>15070</v>
      </c>
      <c r="F8" s="40">
        <f>-E8*(Simulador!$B$17+Simulador!$B$18)</f>
        <v>-1808.4</v>
      </c>
      <c r="G8" s="39">
        <f>-Simulador!$B$31</f>
        <v>-270</v>
      </c>
      <c r="H8" s="40">
        <f>-D8*Simulador!$B$19</f>
        <v>0</v>
      </c>
      <c r="I8" s="40">
        <f t="shared" si="1"/>
        <v>12991.6</v>
      </c>
      <c r="J8" s="12">
        <f t="shared" si="2"/>
        <v>0.5482266062</v>
      </c>
    </row>
    <row r="9">
      <c r="A9" s="9" t="s">
        <v>106</v>
      </c>
      <c r="B9" s="37">
        <v>1.5</v>
      </c>
      <c r="C9" s="38">
        <f>Simulador!$B$14*B9</f>
        <v>15000</v>
      </c>
      <c r="D9" s="39">
        <f>Simulador!$B$34*B9</f>
        <v>28437</v>
      </c>
      <c r="E9" s="39">
        <f>Simulador!$B$36*B9</f>
        <v>18084</v>
      </c>
      <c r="F9" s="40">
        <f>-E9*(Simulador!$B$17+Simulador!$B$18)</f>
        <v>-2170.08</v>
      </c>
      <c r="G9" s="39">
        <f>-Simulador!$B$31</f>
        <v>-270</v>
      </c>
      <c r="H9" s="40">
        <f>-D9*Simulador!$B$19</f>
        <v>0</v>
      </c>
      <c r="I9" s="40">
        <f t="shared" si="1"/>
        <v>15643.92</v>
      </c>
      <c r="J9" s="12">
        <f t="shared" si="2"/>
        <v>0.5501255407</v>
      </c>
    </row>
    <row r="10">
      <c r="A10" s="9" t="s">
        <v>107</v>
      </c>
      <c r="B10" s="37">
        <v>2.0</v>
      </c>
      <c r="C10" s="38">
        <f>Simulador!$B$14*B10</f>
        <v>20000</v>
      </c>
      <c r="D10" s="39">
        <f>Simulador!$B$34*B10</f>
        <v>37916</v>
      </c>
      <c r="E10" s="39">
        <f>Simulador!$B$36*B10</f>
        <v>24112</v>
      </c>
      <c r="F10" s="40">
        <f>-E10*(Simulador!$B$17+Simulador!$B$18)</f>
        <v>-2893.44</v>
      </c>
      <c r="G10" s="39">
        <f>-Simulador!$B$31</f>
        <v>-270</v>
      </c>
      <c r="H10" s="40">
        <f>-D10*Simulador!$B$19</f>
        <v>0</v>
      </c>
      <c r="I10" s="40">
        <f t="shared" si="1"/>
        <v>20948.56</v>
      </c>
      <c r="J10" s="12">
        <f t="shared" si="2"/>
        <v>0.5524992088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>
      <c r="A31" s="6" t="s">
        <v>108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J1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2026-07-15T17:45:21Z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